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315" yWindow="345" windowWidth="10695" windowHeight="7830"/>
  </bookViews>
  <sheets>
    <sheet name="Инструкция" sheetId="1" r:id="rId1"/>
    <sheet name="R410A" sheetId="4" r:id="rId2"/>
    <sheet name="R134a" sheetId="5" r:id="rId3"/>
    <sheet name="Справка" sheetId="6" r:id="rId4"/>
  </sheets>
  <definedNames>
    <definedName name="Диаметр" localSheetId="2">'R134a'!$D$18:$Q$18</definedName>
    <definedName name="Диаметр" localSheetId="1">'R410A'!$C$18:$H$18</definedName>
    <definedName name="Диаметр">Инструкция!$C$12:$H$12</definedName>
    <definedName name="заправка" localSheetId="2">'R134a'!$D$19:$Q$19</definedName>
    <definedName name="заправка" localSheetId="1">'R410A'!$C$19:$H$19</definedName>
    <definedName name="заправка">Инструкция!$C$13:$H$13</definedName>
  </definedNames>
  <calcPr calcId="145621"/>
</workbook>
</file>

<file path=xl/calcChain.xml><?xml version="1.0" encoding="utf-8"?>
<calcChain xmlns="http://schemas.openxmlformats.org/spreadsheetml/2006/main">
  <c r="C5" i="5" l="1"/>
  <c r="C6" i="5"/>
  <c r="E9" i="5"/>
  <c r="E10" i="5"/>
  <c r="D20" i="5"/>
  <c r="D19" i="5" s="1"/>
  <c r="E20" i="5"/>
  <c r="F20" i="5"/>
  <c r="F19" i="5" s="1"/>
  <c r="G20" i="5"/>
  <c r="G19" i="5" s="1"/>
  <c r="C4" i="5" s="1"/>
  <c r="E4" i="5" s="1"/>
  <c r="H20" i="5"/>
  <c r="H19" i="5" s="1"/>
  <c r="I20" i="5"/>
  <c r="J20" i="5"/>
  <c r="J19" i="5" s="1"/>
  <c r="K20" i="5"/>
  <c r="K19" i="5" s="1"/>
  <c r="L20" i="5"/>
  <c r="L19" i="5" s="1"/>
  <c r="O27" i="5"/>
  <c r="L31" i="5"/>
  <c r="L30" i="5" s="1"/>
  <c r="C46" i="5"/>
  <c r="D46" i="5"/>
  <c r="E46" i="5"/>
  <c r="B46" i="5" s="1"/>
  <c r="F46" i="5"/>
  <c r="G46" i="5"/>
  <c r="H46" i="5"/>
  <c r="B47" i="5"/>
  <c r="C47" i="5"/>
  <c r="D47" i="5"/>
  <c r="E47" i="5"/>
  <c r="F47" i="5"/>
  <c r="G47" i="5"/>
  <c r="H47" i="5"/>
  <c r="C51" i="5"/>
  <c r="D51" i="5"/>
  <c r="E51" i="5"/>
  <c r="F51" i="5"/>
  <c r="G51" i="5"/>
  <c r="B51" i="5" s="1"/>
  <c r="E5" i="5" s="1"/>
  <c r="H51" i="5"/>
  <c r="C52" i="5"/>
  <c r="D52" i="5"/>
  <c r="E52" i="5"/>
  <c r="F52" i="5"/>
  <c r="G52" i="5"/>
  <c r="B52" i="5" s="1"/>
  <c r="H52" i="5"/>
  <c r="E19" i="5" l="1"/>
  <c r="I19" i="5"/>
  <c r="O26" i="5"/>
  <c r="E6" i="5"/>
  <c r="E7" i="5" s="1"/>
  <c r="H51" i="4"/>
  <c r="G51" i="4"/>
  <c r="F51" i="4"/>
  <c r="E51" i="4"/>
  <c r="D51" i="4"/>
  <c r="C51" i="4"/>
  <c r="B51" i="4"/>
  <c r="H50" i="4"/>
  <c r="G50" i="4"/>
  <c r="F50" i="4"/>
  <c r="E50" i="4"/>
  <c r="D50" i="4"/>
  <c r="C50" i="4"/>
  <c r="B50" i="4"/>
  <c r="C49" i="4"/>
  <c r="G46" i="4"/>
  <c r="F46" i="4"/>
  <c r="E46" i="4"/>
  <c r="D46" i="4"/>
  <c r="C46" i="4"/>
  <c r="B46" i="4"/>
  <c r="G45" i="4"/>
  <c r="F45" i="4"/>
  <c r="E45" i="4"/>
  <c r="B45" i="4" s="1"/>
  <c r="D45" i="4"/>
  <c r="C45" i="4"/>
  <c r="C44" i="4"/>
  <c r="J20" i="4"/>
  <c r="I20" i="4"/>
  <c r="H20" i="4"/>
  <c r="G20" i="4"/>
  <c r="F20" i="4"/>
  <c r="E20" i="4"/>
  <c r="D20" i="4"/>
  <c r="C20" i="4"/>
  <c r="E10" i="4"/>
  <c r="E9" i="4"/>
  <c r="C6" i="4"/>
  <c r="C5" i="4"/>
  <c r="E5" i="4" l="1"/>
  <c r="E11" i="5"/>
  <c r="E8" i="5"/>
  <c r="I19" i="4"/>
  <c r="E19" i="4"/>
  <c r="C4" i="4" s="1"/>
  <c r="E4" i="4" s="1"/>
  <c r="H19" i="4"/>
  <c r="F19" i="4"/>
  <c r="D19" i="4"/>
  <c r="G19" i="4"/>
  <c r="C19" i="4"/>
  <c r="J19" i="4"/>
  <c r="E6" i="4"/>
  <c r="E7" i="4" l="1"/>
  <c r="E8" i="4" l="1"/>
  <c r="E11" i="4"/>
</calcChain>
</file>

<file path=xl/sharedStrings.xml><?xml version="1.0" encoding="utf-8"?>
<sst xmlns="http://schemas.openxmlformats.org/spreadsheetml/2006/main" count="102" uniqueCount="69">
  <si>
    <t>итого</t>
  </si>
  <si>
    <t>Итого масса хладагента, кг</t>
  </si>
  <si>
    <t>диаметр трубы х Толщина стенки, мм</t>
  </si>
  <si>
    <t>6,35х0,81</t>
  </si>
  <si>
    <t>9,52х0,81</t>
  </si>
  <si>
    <t>12,7х0,81</t>
  </si>
  <si>
    <t>15,88х1,02</t>
  </si>
  <si>
    <t>22,22х1,4</t>
  </si>
  <si>
    <t>Заправка одного метра трубы, кг</t>
  </si>
  <si>
    <t>Внутренний объем 1 м трубы, м куб</t>
  </si>
  <si>
    <t>Коэффициенты корректировки  по плотности</t>
  </si>
  <si>
    <t>Плотность в состоянии насыщения( конденсация)</t>
  </si>
  <si>
    <t>температура конденсации</t>
  </si>
  <si>
    <t xml:space="preserve">жидкость  </t>
  </si>
  <si>
    <t>пар</t>
  </si>
  <si>
    <t>Плотность в состоянии насыщения( кипение)</t>
  </si>
  <si>
    <t>Температура конденсации</t>
  </si>
  <si>
    <t>K1</t>
  </si>
  <si>
    <t>K2</t>
  </si>
  <si>
    <t>Температура кипения</t>
  </si>
  <si>
    <t>K3</t>
  </si>
  <si>
    <t>K4</t>
  </si>
  <si>
    <t>28,58х1,83</t>
  </si>
  <si>
    <t>34,92х2,03</t>
  </si>
  <si>
    <t>41,28х2,41</t>
  </si>
  <si>
    <t>длина, м</t>
  </si>
  <si>
    <t>Внутренний объем конденсатора, л</t>
  </si>
  <si>
    <t>Внутренний объем испарителя, л</t>
  </si>
  <si>
    <t>Заводская заправка хладагента, кг</t>
  </si>
  <si>
    <t>Дозаправка хладагента, кг</t>
  </si>
  <si>
    <t>Диаметр жидкостного трубопровода хладагента, мм</t>
  </si>
  <si>
    <t>Действительный объем ресивера, л</t>
  </si>
  <si>
    <t xml:space="preserve"> Необходимый объем ресивера с учетом заполнения не более 80%, л</t>
  </si>
  <si>
    <t>Температура конденсации хладагента R410A, ℃</t>
  </si>
  <si>
    <t>Температура кипения R410A,℃</t>
  </si>
  <si>
    <t>76,2x1,63</t>
  </si>
  <si>
    <t>6,35х0,76</t>
  </si>
  <si>
    <t>9,52х0,76</t>
  </si>
  <si>
    <t>66,68x1,65</t>
  </si>
  <si>
    <t>53,97x1,5</t>
  </si>
  <si>
    <t>41,28х1,27</t>
  </si>
  <si>
    <t>34,92х1,07</t>
  </si>
  <si>
    <t>28,58х0,89</t>
  </si>
  <si>
    <t>22,22х0,81</t>
  </si>
  <si>
    <t>15,88х0,76</t>
  </si>
  <si>
    <t>12,7х0,76</t>
  </si>
  <si>
    <t>Температура кипения R134a,℃</t>
  </si>
  <si>
    <t>Температура конденсации хладагента R134a, ℃</t>
  </si>
  <si>
    <t>Модель ККБ</t>
  </si>
  <si>
    <t>LUQ-C10A</t>
  </si>
  <si>
    <t>LUQ-C17A</t>
  </si>
  <si>
    <t>LUQ-C23A</t>
  </si>
  <si>
    <t>LUQ-C34A</t>
  </si>
  <si>
    <t>LUQ-C47A</t>
  </si>
  <si>
    <t>LUQ-C54A</t>
  </si>
  <si>
    <t>Полный внутренний объем конденсатора всех контуров хладагента（литры)</t>
  </si>
  <si>
    <t>LUQ-C75A</t>
  </si>
  <si>
    <t>LUQ-C96A</t>
  </si>
  <si>
    <t>LUQ-C118A</t>
  </si>
  <si>
    <t>LUQ-C150A</t>
  </si>
  <si>
    <t>LUQ-C180A</t>
  </si>
  <si>
    <t>LUQ-C208A</t>
  </si>
  <si>
    <t>LUQ-C238A</t>
  </si>
  <si>
    <t>LUQ-C358A</t>
  </si>
  <si>
    <t>Число фреоновых контуров, шт</t>
  </si>
  <si>
    <t>LUQ-C10AP</t>
  </si>
  <si>
    <t>LUQ-C17AP</t>
  </si>
  <si>
    <t>LUQ-C23AP</t>
  </si>
  <si>
    <r>
      <t xml:space="preserve"> Вкладки  "R410A" и "R134A"  предназначены для расчета объема ресивера и заправки хладагента чиллера или ККБ (для соотвествующего хладагента ). </t>
    </r>
    <r>
      <rPr>
        <sz val="11"/>
        <color rgb="FFFF0000"/>
        <rFont val="Calibri"/>
        <family val="2"/>
        <charset val="204"/>
        <scheme val="minor"/>
      </rPr>
      <t>Для чиллеров  и ККБ имеющих несколько фреоновых контуров расчет необходимо производить для каждого фреонового контура отдельно</t>
    </r>
    <r>
      <rPr>
        <sz val="11"/>
        <color theme="1"/>
        <rFont val="Calibri"/>
        <family val="2"/>
        <scheme val="minor"/>
      </rPr>
      <t xml:space="preserve">. В вкладках расчета необходимо заполнять только серые ячейки.
Для расчета объема ресивера и заправки (дозаправки) системы хладагентом необходимо:
1) Из выпадающих списков выбрать: температуру конденсации хладагента*, температуру кипения хладагента*, диаметр жидкостного фреонопровода.
2) Ввести значения: длины жидкостного фреонопровода; внутреннего объема испарителя**, внутреннего объема конденсатора**;
3) При установке ресивера хладагента в системе выбрать ближайший больший типоразмер ресивера в соответствие со значением указанным в строчке « Необходимый объем ресивера с учетом заполнения не более 80%, л» или запросить объем  ресивера в службе информационно-технической поддержки (если ресивер входит в состав агрегата). Ввести значение в строчку «Действительный объем ресивера, л» в соответствие с выбранным типоразмером ресивера.
4) В случае поставки чиллера/ккб с  исходной заправкой хладагента заполнить строчку «Заводская заправка хладагента, кг».
Примечания:
*Для ККБ
Температура кипения хладагента определяется расчетным рабочим режимом секции охлаждения, заложенным в проекте.
Рекомендуется принимать температуру конденсации хладагента на 13-17 ℃ выше, чем расчетная температура наружного воздуха.
Для чиллеров с выносным воздушным конденсатором
Рекомендуется принимать температуру кипения хладагента  на 3-5 ℃ ниже, чем  температура хладоносителя на выходе из испарителя.
Температура конденсации хладагента определяется рассчетным режимом работы чиллера.
**-см. технические характеристики оборудования и вкладку "Справка" в данном файле (или запросить инженера службы информационно -технической поддержки) . Для чиллеров (ККБ), имеющих несколько фреоновых контуров расчет необходимо производить </t>
    </r>
    <r>
      <rPr>
        <sz val="11"/>
        <color rgb="FFFF0000"/>
        <rFont val="Calibri"/>
        <family val="2"/>
        <charset val="204"/>
        <scheme val="minor"/>
      </rPr>
      <t>ОТДЕЛЬНО ДЛЯ КАЖДОГО ФРЕОНОВОГО КОНТУРА</t>
    </r>
    <r>
      <rPr>
        <sz val="11"/>
        <color theme="1"/>
        <rFont val="Calibri"/>
        <family val="2"/>
        <scheme val="minor"/>
      </rPr>
      <t xml:space="preserve">. В Графы "внутренний объем испарителя" , "внутренний объем конденсатора", "длинна жидкостного трубопровода" вводить значение для одного контура. Во вкладке "Справка" для </t>
    </r>
    <r>
      <rPr>
        <sz val="11"/>
        <color rgb="FFFF0000"/>
        <rFont val="Calibri"/>
        <family val="2"/>
        <charset val="204"/>
        <scheme val="minor"/>
      </rPr>
      <t>двухконтурных ККБ</t>
    </r>
    <r>
      <rPr>
        <sz val="11"/>
        <color theme="1"/>
        <rFont val="Calibri"/>
        <family val="2"/>
        <scheme val="minor"/>
      </rPr>
      <t xml:space="preserve"> указан полный объем конденсатора на два контура. При расчете необходимо данное </t>
    </r>
    <r>
      <rPr>
        <sz val="11"/>
        <color rgb="FFFF0000"/>
        <rFont val="Calibri"/>
        <family val="2"/>
        <charset val="204"/>
        <scheme val="minor"/>
      </rPr>
      <t>значение разделить на два</t>
    </r>
    <r>
      <rPr>
        <sz val="11"/>
        <color theme="1"/>
        <rFont val="Calibri"/>
        <family val="2"/>
        <scheme val="minor"/>
      </rPr>
      <t xml:space="preserve"> и внести в  соотвествуюющую ячейку. </t>
    </r>
    <r>
      <rPr>
        <sz val="11"/>
        <color rgb="FFFF0000"/>
        <rFont val="Calibri"/>
        <family val="2"/>
        <charset val="204"/>
        <scheme val="minor"/>
      </rPr>
      <t xml:space="preserve">Обратить внимание: чиллеры с выносным конденсатором и ККБ серии Smart Logic (европейской производственной площадки) имеют в составе  ресивер хладагента. ККБ и чиллеры SMART LOGIC поставляются без заправки хладагента (заполненные азотом). ККБ Techno Cool имеют заводскую заправку хладагента, но не имеют ресивера хладагента в составе. Все эти факторы необходимо учесть при расчете. </t>
    </r>
    <r>
      <rPr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</si>
</sst>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2" borderId="0" xfId="0" applyFill="1"/>
    <xf numFmtId="0" fontId="0" fillId="0" borderId="5" xfId="0" applyBorder="1"/>
    <xf numFmtId="0" fontId="0" fillId="0" borderId="6" xfId="0" applyBorder="1"/>
    <xf numFmtId="164" fontId="0" fillId="0" borderId="6" xfId="0" applyNumberFormat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7" xfId="0" applyFill="1" applyBorder="1"/>
    <xf numFmtId="0" fontId="0" fillId="3" borderId="8" xfId="0" applyFill="1" applyBorder="1"/>
    <xf numFmtId="164" fontId="0" fillId="3" borderId="9" xfId="0" applyNumberFormat="1" applyFill="1" applyBorder="1"/>
    <xf numFmtId="0" fontId="0" fillId="5" borderId="0" xfId="0" applyFill="1"/>
    <xf numFmtId="0" fontId="0" fillId="0" borderId="5" xfId="0" applyBorder="1" applyAlignment="1">
      <alignment wrapText="1"/>
    </xf>
    <xf numFmtId="0" fontId="0" fillId="5" borderId="0" xfId="0" applyFill="1" applyBorder="1"/>
    <xf numFmtId="0" fontId="1" fillId="0" borderId="0" xfId="0" applyFont="1"/>
    <xf numFmtId="0" fontId="1" fillId="5" borderId="0" xfId="0" applyFont="1" applyFill="1" applyBorder="1" applyAlignment="1">
      <alignment wrapText="1"/>
    </xf>
    <xf numFmtId="0" fontId="1" fillId="5" borderId="0" xfId="0" applyFont="1" applyFill="1" applyBorder="1"/>
    <xf numFmtId="0" fontId="1" fillId="5" borderId="0" xfId="0" applyFont="1" applyFill="1" applyBorder="1" applyAlignment="1">
      <alignment horizontal="center" wrapText="1"/>
    </xf>
    <xf numFmtId="164" fontId="1" fillId="5" borderId="0" xfId="0" applyNumberFormat="1" applyFont="1" applyFill="1" applyBorder="1"/>
    <xf numFmtId="165" fontId="1" fillId="5" borderId="0" xfId="0" applyNumberFormat="1" applyFont="1" applyFill="1" applyBorder="1"/>
    <xf numFmtId="0" fontId="0" fillId="4" borderId="1" xfId="0" applyFill="1" applyBorder="1" applyProtection="1">
      <protection locked="0"/>
    </xf>
    <xf numFmtId="164" fontId="0" fillId="0" borderId="0" xfId="0" applyNumberFormat="1"/>
    <xf numFmtId="0" fontId="0" fillId="0" borderId="0" xfId="0" applyAlignment="1">
      <alignment horizontal="right"/>
    </xf>
    <xf numFmtId="0" fontId="0" fillId="5" borderId="0" xfId="0" applyFill="1" applyBorder="1" applyProtection="1">
      <protection locked="0"/>
    </xf>
    <xf numFmtId="164" fontId="0" fillId="5" borderId="0" xfId="0" applyNumberFormat="1" applyFill="1" applyBorder="1"/>
    <xf numFmtId="0" fontId="0" fillId="5" borderId="0" xfId="0" applyFill="1" applyBorder="1" applyAlignment="1">
      <alignment wrapText="1"/>
    </xf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0" fillId="5" borderId="0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"/>
  <sheetViews>
    <sheetView tabSelected="1" workbookViewId="0">
      <selection sqref="A1:E2"/>
    </sheetView>
  </sheetViews>
  <sheetFormatPr defaultRowHeight="15" x14ac:dyDescent="0.25"/>
  <cols>
    <col min="1" max="1" width="54.28515625" customWidth="1"/>
    <col min="2" max="2" width="40.140625" customWidth="1"/>
    <col min="3" max="3" width="18.28515625" customWidth="1"/>
    <col min="4" max="4" width="30" customWidth="1"/>
    <col min="5" max="5" width="24.140625" customWidth="1"/>
    <col min="6" max="6" width="11" customWidth="1"/>
    <col min="7" max="7" width="15.5703125" customWidth="1"/>
    <col min="8" max="8" width="12.28515625" customWidth="1"/>
    <col min="9" max="9" width="10.5703125" customWidth="1"/>
    <col min="10" max="10" width="13.140625" customWidth="1"/>
    <col min="11" max="12" width="9.140625" customWidth="1"/>
    <col min="14" max="16" width="9.140625" customWidth="1"/>
  </cols>
  <sheetData>
    <row r="1" spans="1:24" ht="409.5" customHeight="1" x14ac:dyDescent="0.25">
      <c r="A1" s="33" t="s">
        <v>68</v>
      </c>
      <c r="B1" s="33"/>
      <c r="C1" s="33"/>
      <c r="D1" s="33"/>
      <c r="E1" s="33"/>
    </row>
    <row r="2" spans="1:24" ht="21.75" customHeight="1" x14ac:dyDescent="0.25">
      <c r="A2" s="33"/>
      <c r="B2" s="33"/>
      <c r="C2" s="33"/>
      <c r="D2" s="33"/>
      <c r="E2" s="33"/>
    </row>
    <row r="3" spans="1:24" x14ac:dyDescent="0.25">
      <c r="A3" s="15"/>
      <c r="B3" s="25"/>
      <c r="C3" s="15"/>
      <c r="D3" s="15"/>
      <c r="E3" s="15"/>
    </row>
    <row r="4" spans="1:24" x14ac:dyDescent="0.25">
      <c r="A4" s="15"/>
      <c r="B4" s="25"/>
      <c r="C4" s="26"/>
      <c r="D4" s="25"/>
      <c r="E4" s="26"/>
    </row>
    <row r="5" spans="1:24" x14ac:dyDescent="0.25">
      <c r="A5" s="15"/>
      <c r="B5" s="25"/>
      <c r="C5" s="15"/>
      <c r="D5" s="15"/>
      <c r="E5" s="26"/>
    </row>
    <row r="6" spans="1:24" x14ac:dyDescent="0.25">
      <c r="A6" s="15"/>
      <c r="B6" s="25"/>
      <c r="C6" s="15"/>
      <c r="D6" s="15"/>
      <c r="E6" s="26"/>
    </row>
    <row r="7" spans="1:24" x14ac:dyDescent="0.25">
      <c r="A7" s="15"/>
      <c r="B7" s="15"/>
      <c r="C7" s="15"/>
      <c r="D7" s="15"/>
      <c r="E7" s="26"/>
    </row>
    <row r="8" spans="1:24" x14ac:dyDescent="0.25">
      <c r="A8" s="27"/>
      <c r="B8" s="15"/>
      <c r="C8" s="15"/>
      <c r="D8" s="15"/>
      <c r="E8" s="26"/>
    </row>
    <row r="9" spans="1:24" x14ac:dyDescent="0.25">
      <c r="A9" s="15"/>
      <c r="B9" s="25"/>
      <c r="C9" s="15"/>
      <c r="D9" s="15"/>
      <c r="E9" s="26"/>
    </row>
    <row r="10" spans="1:24" x14ac:dyDescent="0.25">
      <c r="A10" s="15"/>
      <c r="B10" s="25"/>
      <c r="C10" s="15"/>
      <c r="D10" s="15"/>
      <c r="E10" s="26"/>
    </row>
    <row r="11" spans="1:24" s="3" customFormat="1" x14ac:dyDescent="0.25">
      <c r="A11" s="15"/>
      <c r="B11" s="15"/>
      <c r="C11" s="15"/>
      <c r="D11" s="15"/>
      <c r="E11" s="26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 spans="1:24" x14ac:dyDescent="0.25">
      <c r="A12" s="17"/>
      <c r="B12" s="17"/>
      <c r="C12" s="18"/>
      <c r="D12" s="18"/>
      <c r="E12" s="18"/>
      <c r="F12" s="18"/>
      <c r="G12" s="18"/>
      <c r="H12" s="18"/>
      <c r="I12" s="18"/>
      <c r="J12" s="18"/>
    </row>
    <row r="13" spans="1:24" x14ac:dyDescent="0.25">
      <c r="A13" s="19"/>
      <c r="B13" s="19"/>
      <c r="C13" s="20"/>
      <c r="D13" s="20"/>
      <c r="E13" s="20"/>
      <c r="F13" s="20"/>
      <c r="G13" s="20"/>
      <c r="H13" s="20"/>
      <c r="I13" s="20"/>
      <c r="J13" s="20"/>
    </row>
    <row r="14" spans="1:24" x14ac:dyDescent="0.25">
      <c r="A14" s="17"/>
      <c r="B14" s="17"/>
      <c r="C14" s="18"/>
      <c r="D14" s="18"/>
      <c r="E14" s="18"/>
      <c r="F14" s="18"/>
      <c r="G14" s="18"/>
      <c r="H14" s="18"/>
      <c r="I14" s="18"/>
      <c r="J14" s="18"/>
    </row>
    <row r="15" spans="1:24" x14ac:dyDescent="0.25">
      <c r="A15" s="18"/>
      <c r="B15" s="18"/>
      <c r="C15" s="18"/>
      <c r="D15" s="18"/>
      <c r="E15" s="18"/>
      <c r="F15" s="18"/>
      <c r="G15" s="18"/>
      <c r="H15" s="18"/>
      <c r="I15" s="18"/>
      <c r="J15" s="18"/>
    </row>
    <row r="16" spans="1:24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8"/>
    </row>
    <row r="17" spans="1:10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</row>
    <row r="18" spans="1:10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</row>
    <row r="19" spans="1:10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</row>
    <row r="20" spans="1:10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</row>
    <row r="21" spans="1:10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</row>
    <row r="22" spans="1:10" x14ac:dyDescent="0.25">
      <c r="A22" s="18"/>
      <c r="B22" s="18"/>
      <c r="C22" s="18"/>
      <c r="D22" s="18"/>
      <c r="E22" s="18"/>
      <c r="F22" s="18"/>
      <c r="G22" s="20"/>
      <c r="H22" s="18"/>
      <c r="I22" s="18"/>
      <c r="J22" s="18"/>
    </row>
    <row r="23" spans="1:10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</row>
    <row r="24" spans="1:10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</row>
    <row r="25" spans="1:10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</row>
    <row r="26" spans="1:10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</row>
    <row r="27" spans="1:10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</row>
    <row r="28" spans="1:10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</row>
    <row r="29" spans="1:10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20"/>
    </row>
    <row r="30" spans="1:10" x14ac:dyDescent="0.25">
      <c r="A30" s="18"/>
      <c r="B30" s="18"/>
      <c r="C30" s="18"/>
      <c r="D30" s="18"/>
      <c r="E30" s="18"/>
      <c r="F30" s="18"/>
      <c r="G30" s="20"/>
      <c r="H30" s="18"/>
      <c r="I30" s="18"/>
      <c r="J30" s="18"/>
    </row>
    <row r="31" spans="1:10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</row>
    <row r="32" spans="1:10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</row>
    <row r="33" spans="1:10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</row>
    <row r="34" spans="1:10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</row>
    <row r="35" spans="1:10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</row>
    <row r="36" spans="1:10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</row>
    <row r="37" spans="1:10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</row>
    <row r="38" spans="1:10" x14ac:dyDescent="0.25">
      <c r="A38" s="18"/>
      <c r="B38" s="18"/>
      <c r="C38" s="20"/>
      <c r="D38" s="18"/>
      <c r="E38" s="18"/>
      <c r="F38" s="18"/>
      <c r="G38" s="18"/>
      <c r="H38" s="18"/>
      <c r="I38" s="18"/>
      <c r="J38" s="18"/>
    </row>
    <row r="39" spans="1:10" x14ac:dyDescent="0.25">
      <c r="A39" s="18"/>
      <c r="B39" s="21"/>
      <c r="C39" s="20"/>
      <c r="D39" s="20"/>
      <c r="E39" s="20"/>
      <c r="F39" s="20"/>
      <c r="G39" s="20"/>
      <c r="H39" s="18"/>
      <c r="I39" s="18"/>
      <c r="J39" s="18"/>
    </row>
    <row r="40" spans="1:10" x14ac:dyDescent="0.25">
      <c r="A40" s="18"/>
      <c r="B40" s="20"/>
      <c r="C40" s="20"/>
      <c r="D40" s="20"/>
      <c r="E40" s="20"/>
      <c r="F40" s="20"/>
      <c r="G40" s="20"/>
      <c r="H40" s="18"/>
      <c r="I40" s="18"/>
      <c r="J40" s="18"/>
    </row>
    <row r="41" spans="1:10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</row>
    <row r="42" spans="1:10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</row>
    <row r="43" spans="1:10" x14ac:dyDescent="0.25">
      <c r="A43" s="18"/>
      <c r="B43" s="18"/>
      <c r="C43" s="20"/>
      <c r="D43" s="18"/>
      <c r="E43" s="18"/>
      <c r="F43" s="18"/>
      <c r="G43" s="18"/>
      <c r="H43" s="18"/>
      <c r="I43" s="18"/>
      <c r="J43" s="18"/>
    </row>
    <row r="44" spans="1:10" x14ac:dyDescent="0.25">
      <c r="A44" s="18"/>
      <c r="B44" s="20"/>
      <c r="C44" s="20"/>
      <c r="D44" s="20"/>
      <c r="E44" s="20"/>
      <c r="F44" s="20"/>
      <c r="G44" s="20"/>
      <c r="H44" s="20"/>
      <c r="I44" s="18"/>
      <c r="J44" s="18"/>
    </row>
    <row r="45" spans="1:10" x14ac:dyDescent="0.25">
      <c r="A45" s="18"/>
      <c r="B45" s="20"/>
      <c r="C45" s="20"/>
      <c r="D45" s="20"/>
      <c r="E45" s="20"/>
      <c r="F45" s="20"/>
      <c r="G45" s="20"/>
      <c r="H45" s="20"/>
      <c r="I45" s="18"/>
      <c r="J45" s="18"/>
    </row>
    <row r="46" spans="1:10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</row>
  </sheetData>
  <mergeCells count="1">
    <mergeCell ref="A1:E2"/>
  </mergeCells>
  <dataValidations count="2">
    <dataValidation type="list" allowBlank="1" showInputMessage="1" showErrorMessage="1" sqref="B4">
      <formula1>$C$12:$J$12</formula1>
    </dataValidation>
    <dataValidation type="list" allowBlank="1" showInputMessage="1" showErrorMessage="1" sqref="B3">
      <formula1>$A$30:$A$35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"/>
  <sheetViews>
    <sheetView workbookViewId="0">
      <selection activeCell="B10" sqref="B10"/>
    </sheetView>
  </sheetViews>
  <sheetFormatPr defaultRowHeight="15" x14ac:dyDescent="0.25"/>
  <cols>
    <col min="1" max="1" width="54.28515625" customWidth="1"/>
    <col min="2" max="2" width="40.140625" customWidth="1"/>
    <col min="3" max="3" width="18.28515625" customWidth="1"/>
    <col min="4" max="4" width="30" customWidth="1"/>
    <col min="5" max="5" width="24.140625" customWidth="1"/>
    <col min="6" max="6" width="11" customWidth="1"/>
    <col min="7" max="7" width="15.5703125" customWidth="1"/>
    <col min="8" max="8" width="12.28515625" customWidth="1"/>
    <col min="9" max="9" width="10.5703125" customWidth="1"/>
    <col min="10" max="10" width="13.140625" customWidth="1"/>
    <col min="11" max="12" width="9.140625" customWidth="1"/>
    <col min="14" max="16" width="9.140625" customWidth="1"/>
  </cols>
  <sheetData>
    <row r="1" spans="1:24" x14ac:dyDescent="0.25">
      <c r="A1" s="7"/>
      <c r="B1" s="8"/>
      <c r="C1" s="8"/>
      <c r="D1" s="8" t="s">
        <v>25</v>
      </c>
      <c r="E1" s="9" t="s">
        <v>0</v>
      </c>
    </row>
    <row r="2" spans="1:24" x14ac:dyDescent="0.25">
      <c r="A2" s="4" t="s">
        <v>33</v>
      </c>
      <c r="B2" s="22">
        <v>50</v>
      </c>
      <c r="C2" s="1"/>
      <c r="D2" s="1"/>
      <c r="E2" s="5"/>
    </row>
    <row r="3" spans="1:24" x14ac:dyDescent="0.25">
      <c r="A3" s="4" t="s">
        <v>34</v>
      </c>
      <c r="B3" s="22">
        <v>7</v>
      </c>
      <c r="C3" s="1"/>
      <c r="D3" s="1"/>
      <c r="E3" s="5"/>
    </row>
    <row r="4" spans="1:24" x14ac:dyDescent="0.25">
      <c r="A4" s="4" t="s">
        <v>30</v>
      </c>
      <c r="B4" s="22" t="s">
        <v>4</v>
      </c>
      <c r="C4" s="2">
        <f>LOOKUP(B4,C18:J18,C19:J19)</f>
        <v>4.4651172090000017E-2</v>
      </c>
      <c r="D4" s="22">
        <v>23.5</v>
      </c>
      <c r="E4" s="6">
        <f>C4*D4</f>
        <v>1.0493025441150003</v>
      </c>
    </row>
    <row r="5" spans="1:24" x14ac:dyDescent="0.25">
      <c r="A5" s="4" t="s">
        <v>27</v>
      </c>
      <c r="B5" s="22">
        <v>4.4000000000000004</v>
      </c>
      <c r="C5" s="1">
        <f>B5/1000</f>
        <v>4.4000000000000003E-3</v>
      </c>
      <c r="D5" s="1"/>
      <c r="E5" s="6">
        <f>0.5*C5*1146.9*B50+0.5*C5*38.3*B51</f>
        <v>2.6074400000000004</v>
      </c>
    </row>
    <row r="6" spans="1:24" x14ac:dyDescent="0.25">
      <c r="A6" s="4" t="s">
        <v>26</v>
      </c>
      <c r="B6" s="22">
        <v>3.27</v>
      </c>
      <c r="C6" s="1">
        <f>B6/1000</f>
        <v>3.2699999999999999E-3</v>
      </c>
      <c r="D6" s="1"/>
      <c r="E6" s="6">
        <f>0.5*C6*911.4*B45+0.5*C6*138.65*B46</f>
        <v>1.7168317499999999</v>
      </c>
    </row>
    <row r="7" spans="1:24" x14ac:dyDescent="0.25">
      <c r="A7" s="4" t="s">
        <v>1</v>
      </c>
      <c r="B7" s="1"/>
      <c r="C7" s="1"/>
      <c r="D7" s="1"/>
      <c r="E7" s="6">
        <f>E6+E5+E4</f>
        <v>5.3735742941150004</v>
      </c>
    </row>
    <row r="8" spans="1:24" ht="30" x14ac:dyDescent="0.25">
      <c r="A8" s="14" t="s">
        <v>32</v>
      </c>
      <c r="B8" s="1"/>
      <c r="C8" s="1"/>
      <c r="D8" s="1"/>
      <c r="E8" s="6">
        <f>1.25*1000*E7/911.4*B45</f>
        <v>7.3699449941230535</v>
      </c>
    </row>
    <row r="9" spans="1:24" x14ac:dyDescent="0.25">
      <c r="A9" s="4" t="s">
        <v>31</v>
      </c>
      <c r="B9" s="22">
        <v>8</v>
      </c>
      <c r="C9" s="1"/>
      <c r="D9" s="1"/>
      <c r="E9" s="6">
        <f>B9</f>
        <v>8</v>
      </c>
    </row>
    <row r="10" spans="1:24" x14ac:dyDescent="0.25">
      <c r="A10" s="4" t="s">
        <v>28</v>
      </c>
      <c r="B10" s="22">
        <v>3.05</v>
      </c>
      <c r="C10" s="1"/>
      <c r="D10" s="1"/>
      <c r="E10" s="6">
        <f>B10</f>
        <v>3.05</v>
      </c>
    </row>
    <row r="11" spans="1:24" s="3" customFormat="1" ht="15.75" thickBot="1" x14ac:dyDescent="0.3">
      <c r="A11" s="10" t="s">
        <v>29</v>
      </c>
      <c r="B11" s="11"/>
      <c r="C11" s="11"/>
      <c r="D11" s="11"/>
      <c r="E11" s="12">
        <f>E7-E10+E9*0.15*911.4*B45/1000</f>
        <v>3.4172542941150006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7" spans="1:10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</row>
    <row r="18" spans="1:10" x14ac:dyDescent="0.25">
      <c r="A18" s="17" t="s">
        <v>2</v>
      </c>
      <c r="B18" s="17"/>
      <c r="C18" s="18" t="s">
        <v>5</v>
      </c>
      <c r="D18" s="18" t="s">
        <v>6</v>
      </c>
      <c r="E18" s="18" t="s">
        <v>7</v>
      </c>
      <c r="F18" s="18" t="s">
        <v>22</v>
      </c>
      <c r="G18" s="18" t="s">
        <v>23</v>
      </c>
      <c r="H18" s="18" t="s">
        <v>24</v>
      </c>
      <c r="I18" s="18" t="s">
        <v>3</v>
      </c>
      <c r="J18" s="18" t="s">
        <v>4</v>
      </c>
    </row>
    <row r="19" spans="1:10" x14ac:dyDescent="0.25">
      <c r="A19" s="19" t="s">
        <v>8</v>
      </c>
      <c r="B19" s="19"/>
      <c r="C19" s="20">
        <f>C20*911.4*B45</f>
        <v>8.7833098113600003E-2</v>
      </c>
      <c r="D19" s="20">
        <f>D20*911.4*B45</f>
        <v>0.13707081341688002</v>
      </c>
      <c r="E19" s="20">
        <f>E20*911.4*B45</f>
        <v>0.2698218602436</v>
      </c>
      <c r="F19" s="20">
        <f>F20*911.4*B45</f>
        <v>0.44429840787360003</v>
      </c>
      <c r="G19" s="20">
        <f>G20*911.4*B45</f>
        <v>0.68135041448040001</v>
      </c>
      <c r="H19" s="20">
        <f>H20*911.4*B45</f>
        <v>0.95106896388840001</v>
      </c>
      <c r="I19" s="20">
        <f>I20*911.4*B45</f>
        <v>1.60066689321E-2</v>
      </c>
      <c r="J19" s="20">
        <f>J20*911.4*B45</f>
        <v>4.4651172090000017E-2</v>
      </c>
    </row>
    <row r="20" spans="1:10" x14ac:dyDescent="0.25">
      <c r="A20" s="17" t="s">
        <v>9</v>
      </c>
      <c r="B20" s="17"/>
      <c r="C20" s="18">
        <f>(3.14*0.01108*0.01108)/4</f>
        <v>9.6371624000000003E-5</v>
      </c>
      <c r="D20" s="18">
        <f>(3.14*0.013843*0.01384)/4</f>
        <v>1.5039588920000001E-4</v>
      </c>
      <c r="E20" s="18">
        <f>(3.14*0.01942*0.01942)/4</f>
        <v>2.9605207400000002E-4</v>
      </c>
      <c r="F20" s="18">
        <f>(3.14*0.02492*0.02492)/4</f>
        <v>4.8749002400000005E-4</v>
      </c>
      <c r="G20" s="18">
        <f>(3.14*0.03086*0.03086)/4</f>
        <v>7.47586586E-4</v>
      </c>
      <c r="H20" s="18">
        <f>(3.14*0.03646*0.03646)/4</f>
        <v>1.0435253060000001E-3</v>
      </c>
      <c r="I20" s="18">
        <f>(3.14*0.00473*0.00473)/4</f>
        <v>1.75627265E-5</v>
      </c>
      <c r="J20" s="18">
        <f>(3.14*0.0079*0.0079)/4</f>
        <v>4.8991850000000018E-5</v>
      </c>
    </row>
    <row r="21" spans="1:10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</row>
    <row r="22" spans="1:10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</row>
    <row r="23" spans="1:10" x14ac:dyDescent="0.25">
      <c r="A23" s="18" t="s">
        <v>10</v>
      </c>
      <c r="B23" s="18"/>
      <c r="C23" s="18"/>
      <c r="D23" s="18"/>
      <c r="E23" s="18"/>
      <c r="F23" s="18"/>
      <c r="G23" s="18"/>
      <c r="H23" s="18"/>
      <c r="I23" s="18"/>
      <c r="J23" s="18"/>
    </row>
    <row r="24" spans="1:10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</row>
    <row r="25" spans="1:10" x14ac:dyDescent="0.25">
      <c r="A25" s="18" t="s">
        <v>11</v>
      </c>
      <c r="B25" s="18"/>
      <c r="C25" s="18" t="s">
        <v>13</v>
      </c>
      <c r="D25" s="18"/>
      <c r="E25" s="18"/>
      <c r="F25" s="18"/>
      <c r="G25" s="18"/>
      <c r="H25" s="18"/>
      <c r="I25" s="18"/>
      <c r="J25" s="18"/>
    </row>
    <row r="26" spans="1:10" x14ac:dyDescent="0.25">
      <c r="A26" s="18" t="s">
        <v>12</v>
      </c>
      <c r="B26" s="18"/>
      <c r="C26" s="18">
        <v>978.9</v>
      </c>
      <c r="D26" s="18" t="s">
        <v>14</v>
      </c>
      <c r="E26" s="18"/>
      <c r="F26" s="18"/>
      <c r="G26" s="18"/>
      <c r="H26" s="18"/>
      <c r="I26" s="18"/>
      <c r="J26" s="18"/>
    </row>
    <row r="27" spans="1:10" x14ac:dyDescent="0.25">
      <c r="A27" s="18">
        <v>40</v>
      </c>
      <c r="B27" s="18"/>
      <c r="C27" s="18">
        <v>946.8</v>
      </c>
      <c r="D27" s="18">
        <v>102.58499999999999</v>
      </c>
      <c r="E27" s="18"/>
      <c r="F27" s="18"/>
      <c r="G27" s="18"/>
      <c r="H27" s="18"/>
      <c r="I27" s="18"/>
      <c r="J27" s="18"/>
    </row>
    <row r="28" spans="1:10" x14ac:dyDescent="0.25">
      <c r="A28" s="18">
        <v>45</v>
      </c>
      <c r="B28" s="18"/>
      <c r="C28" s="18">
        <v>911.4</v>
      </c>
      <c r="D28" s="18">
        <v>119.08499999999999</v>
      </c>
      <c r="E28" s="18"/>
      <c r="F28" s="18"/>
      <c r="G28" s="20"/>
      <c r="H28" s="18"/>
      <c r="I28" s="18"/>
      <c r="J28" s="18"/>
    </row>
    <row r="29" spans="1:10" x14ac:dyDescent="0.25">
      <c r="A29" s="18">
        <v>50</v>
      </c>
      <c r="B29" s="18"/>
      <c r="C29" s="18">
        <v>871.5</v>
      </c>
      <c r="D29" s="18">
        <v>138.65</v>
      </c>
      <c r="E29" s="18"/>
      <c r="F29" s="18"/>
      <c r="G29" s="18"/>
      <c r="H29" s="18"/>
      <c r="I29" s="18"/>
      <c r="J29" s="18"/>
    </row>
    <row r="30" spans="1:10" x14ac:dyDescent="0.25">
      <c r="A30" s="18">
        <v>55</v>
      </c>
      <c r="B30" s="18"/>
      <c r="C30" s="18">
        <v>824.7</v>
      </c>
      <c r="D30" s="18">
        <v>162.25</v>
      </c>
      <c r="E30" s="18"/>
      <c r="F30" s="18"/>
      <c r="G30" s="18"/>
      <c r="H30" s="18"/>
      <c r="I30" s="18"/>
      <c r="J30" s="18"/>
    </row>
    <row r="31" spans="1:10" x14ac:dyDescent="0.25">
      <c r="A31" s="18">
        <v>60</v>
      </c>
      <c r="B31" s="18"/>
      <c r="C31" s="18"/>
      <c r="D31" s="18">
        <v>191.75700000000001</v>
      </c>
      <c r="E31" s="18"/>
      <c r="F31" s="18"/>
      <c r="G31" s="18"/>
      <c r="H31" s="18"/>
      <c r="I31" s="18"/>
      <c r="J31" s="18"/>
    </row>
    <row r="32" spans="1:10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</row>
    <row r="33" spans="1:10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</row>
    <row r="34" spans="1:10" x14ac:dyDescent="0.25">
      <c r="A34" s="18" t="s">
        <v>15</v>
      </c>
      <c r="B34" s="18"/>
      <c r="C34" s="18" t="s">
        <v>13</v>
      </c>
      <c r="D34" s="18"/>
      <c r="E34" s="18"/>
      <c r="F34" s="18"/>
      <c r="G34" s="18"/>
      <c r="H34" s="18"/>
      <c r="I34" s="18"/>
      <c r="J34" s="18"/>
    </row>
    <row r="35" spans="1:10" x14ac:dyDescent="0.25">
      <c r="A35" s="18" t="s">
        <v>12</v>
      </c>
      <c r="B35" s="18"/>
      <c r="C35" s="18">
        <v>1168.3</v>
      </c>
      <c r="D35" s="18" t="s">
        <v>14</v>
      </c>
      <c r="E35" s="18"/>
      <c r="F35" s="18"/>
      <c r="G35" s="18"/>
      <c r="H35" s="18"/>
      <c r="I35" s="18"/>
      <c r="J35" s="20"/>
    </row>
    <row r="36" spans="1:10" x14ac:dyDescent="0.25">
      <c r="A36" s="18">
        <v>2</v>
      </c>
      <c r="B36" s="18"/>
      <c r="C36" s="18">
        <v>1159.8</v>
      </c>
      <c r="D36" s="18">
        <v>32.67</v>
      </c>
      <c r="E36" s="18"/>
      <c r="F36" s="18"/>
      <c r="G36" s="20"/>
      <c r="H36" s="18"/>
      <c r="I36" s="18"/>
      <c r="J36" s="18"/>
    </row>
    <row r="37" spans="1:10" x14ac:dyDescent="0.25">
      <c r="A37" s="18">
        <v>4</v>
      </c>
      <c r="B37" s="18"/>
      <c r="C37" s="18">
        <v>1155.5</v>
      </c>
      <c r="D37" s="18">
        <v>34.82</v>
      </c>
      <c r="E37" s="18"/>
      <c r="F37" s="18"/>
      <c r="G37" s="18"/>
      <c r="H37" s="18"/>
      <c r="I37" s="18"/>
      <c r="J37" s="18"/>
    </row>
    <row r="38" spans="1:10" x14ac:dyDescent="0.25">
      <c r="A38" s="18">
        <v>5</v>
      </c>
      <c r="B38" s="18"/>
      <c r="C38" s="18">
        <v>1146.9000000000001</v>
      </c>
      <c r="D38" s="18">
        <v>35.93</v>
      </c>
      <c r="E38" s="18"/>
      <c r="F38" s="18"/>
      <c r="G38" s="18"/>
      <c r="H38" s="18"/>
      <c r="I38" s="18"/>
      <c r="J38" s="18"/>
    </row>
    <row r="39" spans="1:10" x14ac:dyDescent="0.25">
      <c r="A39" s="18">
        <v>7</v>
      </c>
      <c r="B39" s="18"/>
      <c r="C39" s="18">
        <v>1142.5</v>
      </c>
      <c r="D39" s="18">
        <v>38.25</v>
      </c>
      <c r="E39" s="18"/>
      <c r="F39" s="18"/>
      <c r="G39" s="18"/>
      <c r="H39" s="18"/>
      <c r="I39" s="18"/>
      <c r="J39" s="18"/>
    </row>
    <row r="40" spans="1:10" x14ac:dyDescent="0.25">
      <c r="A40" s="18">
        <v>8</v>
      </c>
      <c r="B40" s="18"/>
      <c r="C40" s="18">
        <v>1133.7</v>
      </c>
      <c r="D40" s="18">
        <v>39.46</v>
      </c>
      <c r="E40" s="18"/>
      <c r="F40" s="18"/>
      <c r="G40" s="18"/>
      <c r="H40" s="18"/>
      <c r="I40" s="18"/>
      <c r="J40" s="18"/>
    </row>
    <row r="41" spans="1:10" x14ac:dyDescent="0.25">
      <c r="A41" s="18">
        <v>10</v>
      </c>
      <c r="B41" s="18"/>
      <c r="C41" s="18"/>
      <c r="D41" s="18">
        <v>41.98</v>
      </c>
      <c r="E41" s="18"/>
      <c r="F41" s="18"/>
      <c r="G41" s="18"/>
      <c r="H41" s="18"/>
      <c r="I41" s="18"/>
      <c r="J41" s="18"/>
    </row>
    <row r="42" spans="1:10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</row>
    <row r="43" spans="1:10" x14ac:dyDescent="0.25">
      <c r="A43" s="18"/>
      <c r="B43" s="18"/>
      <c r="C43" s="18">
        <v>40</v>
      </c>
      <c r="D43" s="18"/>
      <c r="E43" s="18"/>
      <c r="F43" s="18"/>
      <c r="G43" s="18"/>
      <c r="H43" s="18"/>
      <c r="I43" s="18"/>
      <c r="J43" s="18"/>
    </row>
    <row r="44" spans="1:10" x14ac:dyDescent="0.25">
      <c r="A44" s="18" t="s">
        <v>16</v>
      </c>
      <c r="B44" s="18"/>
      <c r="C44" s="20">
        <f>C26/C28</f>
        <v>1.0740618828176431</v>
      </c>
      <c r="D44" s="18">
        <v>45</v>
      </c>
      <c r="E44" s="18">
        <v>50</v>
      </c>
      <c r="F44" s="18">
        <v>55</v>
      </c>
      <c r="G44" s="18">
        <v>60</v>
      </c>
      <c r="H44" s="18"/>
      <c r="I44" s="18"/>
      <c r="J44" s="18"/>
    </row>
    <row r="45" spans="1:10" x14ac:dyDescent="0.25">
      <c r="A45" s="18" t="s">
        <v>17</v>
      </c>
      <c r="B45" s="21">
        <f>LOOKUP(B2,A27:A31,C45:G45)</f>
        <v>1</v>
      </c>
      <c r="C45" s="20">
        <f>C26/C28</f>
        <v>1.0740618828176431</v>
      </c>
      <c r="D45" s="20">
        <f>C27/C28</f>
        <v>1.0388413429888084</v>
      </c>
      <c r="E45" s="20">
        <f>C28/C28</f>
        <v>1</v>
      </c>
      <c r="F45" s="20">
        <f>C29/C28</f>
        <v>0.95622119815668205</v>
      </c>
      <c r="G45" s="20">
        <f>C30/C28</f>
        <v>0.90487162606978278</v>
      </c>
      <c r="H45" s="18"/>
      <c r="I45" s="18"/>
      <c r="J45" s="18"/>
    </row>
    <row r="46" spans="1:10" x14ac:dyDescent="0.25">
      <c r="A46" s="18" t="s">
        <v>18</v>
      </c>
      <c r="B46" s="20">
        <f>LOOKUP(B2,A27:A31,C46:G46)</f>
        <v>1</v>
      </c>
      <c r="C46" s="20">
        <f>D27/D29</f>
        <v>0.739884601514605</v>
      </c>
      <c r="D46" s="20">
        <f>D28/D29</f>
        <v>0.8588892895780742</v>
      </c>
      <c r="E46" s="20">
        <f>D29/D29</f>
        <v>1</v>
      </c>
      <c r="F46" s="20">
        <f>D30/D29</f>
        <v>1.1702127659574468</v>
      </c>
      <c r="G46" s="20">
        <f>D31/D29</f>
        <v>1.3830292102416155</v>
      </c>
      <c r="H46" s="18"/>
      <c r="I46" s="18"/>
      <c r="J46" s="18"/>
    </row>
    <row r="47" spans="1:10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</row>
    <row r="48" spans="1:10" x14ac:dyDescent="0.25">
      <c r="A48" s="18"/>
      <c r="B48" s="18"/>
      <c r="C48" s="18">
        <v>2</v>
      </c>
      <c r="D48" s="18"/>
      <c r="E48" s="18"/>
      <c r="F48" s="18"/>
      <c r="G48" s="18"/>
      <c r="H48" s="18"/>
      <c r="I48" s="18"/>
      <c r="J48" s="18"/>
    </row>
    <row r="49" spans="1:10" x14ac:dyDescent="0.25">
      <c r="A49" s="18" t="s">
        <v>19</v>
      </c>
      <c r="B49" s="18"/>
      <c r="C49" s="20">
        <f>C35/C38</f>
        <v>1.0186589938093991</v>
      </c>
      <c r="D49" s="18">
        <v>4</v>
      </c>
      <c r="E49" s="18">
        <v>5</v>
      </c>
      <c r="F49" s="18">
        <v>7</v>
      </c>
      <c r="G49" s="18">
        <v>8</v>
      </c>
      <c r="H49" s="18">
        <v>10</v>
      </c>
      <c r="I49" s="18"/>
      <c r="J49" s="18"/>
    </row>
    <row r="50" spans="1:10" x14ac:dyDescent="0.25">
      <c r="A50" s="18" t="s">
        <v>20</v>
      </c>
      <c r="B50" s="20">
        <f>LOOKUP(B3,A36:A41,C50:H50)</f>
        <v>1</v>
      </c>
      <c r="C50" s="20">
        <f>C35/C38</f>
        <v>1.0186589938093991</v>
      </c>
      <c r="D50" s="20">
        <f>C36/C38</f>
        <v>1.0112477112215537</v>
      </c>
      <c r="E50" s="20">
        <f>C37/C38</f>
        <v>1.0074984741477024</v>
      </c>
      <c r="F50" s="20">
        <f>C38/C38</f>
        <v>1</v>
      </c>
      <c r="G50" s="20">
        <f>C39/C38</f>
        <v>0.99616357136629163</v>
      </c>
      <c r="H50" s="20">
        <f>C40/C38</f>
        <v>0.98849071409887523</v>
      </c>
      <c r="I50" s="18"/>
      <c r="J50" s="18"/>
    </row>
    <row r="51" spans="1:10" x14ac:dyDescent="0.25">
      <c r="A51" s="18" t="s">
        <v>21</v>
      </c>
      <c r="B51" s="20">
        <f>LOOKUP(B3,A36:A41,C51:H51)</f>
        <v>1</v>
      </c>
      <c r="C51" s="20">
        <f>D36/D39</f>
        <v>0.85411764705882354</v>
      </c>
      <c r="D51" s="20">
        <f>D37/D39</f>
        <v>0.91032679738562094</v>
      </c>
      <c r="E51" s="20">
        <f>D38/D39</f>
        <v>0.93934640522875812</v>
      </c>
      <c r="F51" s="20">
        <f>D39/D39</f>
        <v>1</v>
      </c>
      <c r="G51" s="20">
        <f>D40/D39</f>
        <v>1.0316339869281046</v>
      </c>
      <c r="H51" s="20">
        <f>D41/D39</f>
        <v>1.0975163398692809</v>
      </c>
      <c r="I51" s="18"/>
      <c r="J51" s="18"/>
    </row>
    <row r="52" spans="1:10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</row>
  </sheetData>
  <sheetProtection password="CF7A" sheet="1" objects="1" scenarios="1"/>
  <dataValidations count="3">
    <dataValidation type="list" allowBlank="1" showInputMessage="1" showErrorMessage="1" sqref="B3">
      <formula1>$A$36:$A$41</formula1>
    </dataValidation>
    <dataValidation type="list" allowBlank="1" showInputMessage="1" showErrorMessage="1" sqref="B2">
      <formula1>$A$27:$A$31</formula1>
    </dataValidation>
    <dataValidation type="list" allowBlank="1" showInputMessage="1" showErrorMessage="1" sqref="B4">
      <formula1>$C$18:$J$18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5"/>
  <sheetViews>
    <sheetView workbookViewId="0">
      <selection activeCell="B17" sqref="B17"/>
    </sheetView>
  </sheetViews>
  <sheetFormatPr defaultRowHeight="15" x14ac:dyDescent="0.25"/>
  <cols>
    <col min="1" max="1" width="54.28515625" customWidth="1"/>
    <col min="2" max="2" width="40.140625" customWidth="1"/>
    <col min="3" max="3" width="18.28515625" customWidth="1"/>
    <col min="4" max="4" width="30" customWidth="1"/>
    <col min="5" max="5" width="24.140625" customWidth="1"/>
    <col min="6" max="6" width="11" customWidth="1"/>
    <col min="7" max="7" width="15.5703125" customWidth="1"/>
    <col min="8" max="8" width="12.28515625" customWidth="1"/>
    <col min="9" max="9" width="10.5703125" customWidth="1"/>
    <col min="10" max="10" width="13.140625" customWidth="1"/>
    <col min="11" max="11" width="9.140625" customWidth="1"/>
    <col min="12" max="12" width="11.140625" customWidth="1"/>
    <col min="13" max="15" width="9.140625" customWidth="1"/>
  </cols>
  <sheetData>
    <row r="1" spans="1:23" x14ac:dyDescent="0.25">
      <c r="A1" s="7"/>
      <c r="B1" s="8"/>
      <c r="C1" s="8"/>
      <c r="D1" s="8" t="s">
        <v>25</v>
      </c>
      <c r="E1" s="9" t="s">
        <v>0</v>
      </c>
    </row>
    <row r="2" spans="1:23" x14ac:dyDescent="0.25">
      <c r="A2" s="4" t="s">
        <v>47</v>
      </c>
      <c r="B2" s="22">
        <v>50</v>
      </c>
      <c r="C2" s="1"/>
      <c r="D2" s="1"/>
      <c r="E2" s="5"/>
    </row>
    <row r="3" spans="1:23" x14ac:dyDescent="0.25">
      <c r="A3" s="4" t="s">
        <v>46</v>
      </c>
      <c r="B3" s="22">
        <v>6</v>
      </c>
      <c r="C3" s="1"/>
      <c r="D3" s="1"/>
      <c r="E3" s="5"/>
    </row>
    <row r="4" spans="1:23" x14ac:dyDescent="0.25">
      <c r="A4" s="4" t="s">
        <v>30</v>
      </c>
      <c r="B4" s="22" t="s">
        <v>42</v>
      </c>
      <c r="C4" s="2">
        <f>LOOKUP(B4,D18:L18,D19:L19)</f>
        <v>0.62121511312</v>
      </c>
      <c r="D4" s="22">
        <v>3</v>
      </c>
      <c r="E4" s="6">
        <f>C4*D4</f>
        <v>1.8636453393600001</v>
      </c>
    </row>
    <row r="5" spans="1:23" x14ac:dyDescent="0.25">
      <c r="A5" s="4" t="s">
        <v>27</v>
      </c>
      <c r="B5" s="22">
        <v>10</v>
      </c>
      <c r="C5" s="1">
        <f>B5/1000</f>
        <v>0.01</v>
      </c>
      <c r="D5" s="1"/>
      <c r="E5" s="6">
        <f>0.5*C5*1280.1*B51+0.5*C5*16.569*B52</f>
        <v>6.4556300000000011</v>
      </c>
    </row>
    <row r="6" spans="1:23" x14ac:dyDescent="0.25">
      <c r="A6" s="4" t="s">
        <v>26</v>
      </c>
      <c r="B6" s="22">
        <v>20</v>
      </c>
      <c r="C6" s="1">
        <f>B6/1000</f>
        <v>0.02</v>
      </c>
      <c r="D6" s="1"/>
      <c r="E6" s="6">
        <f>0.5*C6*1101.8*B46+0.5*C6*66.225*B47</f>
        <v>11.680249999999999</v>
      </c>
    </row>
    <row r="7" spans="1:23" x14ac:dyDescent="0.25">
      <c r="A7" s="4" t="s">
        <v>1</v>
      </c>
      <c r="B7" s="1"/>
      <c r="C7" s="1"/>
      <c r="D7" s="1"/>
      <c r="E7" s="6">
        <f>E6+E5+E4</f>
        <v>19.999525339360002</v>
      </c>
    </row>
    <row r="8" spans="1:23" ht="30" x14ac:dyDescent="0.25">
      <c r="A8" s="14" t="s">
        <v>32</v>
      </c>
      <c r="B8" s="1"/>
      <c r="C8" s="1"/>
      <c r="D8" s="1"/>
      <c r="E8" s="6">
        <f>1.25*1000*E7/911.4*B46</f>
        <v>27.429675964669745</v>
      </c>
    </row>
    <row r="9" spans="1:23" x14ac:dyDescent="0.25">
      <c r="A9" s="4" t="s">
        <v>31</v>
      </c>
      <c r="B9" s="22">
        <v>15</v>
      </c>
      <c r="C9" s="1"/>
      <c r="D9" s="1"/>
      <c r="E9" s="6">
        <f>B9</f>
        <v>15</v>
      </c>
    </row>
    <row r="10" spans="1:23" x14ac:dyDescent="0.25">
      <c r="A10" s="4" t="s">
        <v>28</v>
      </c>
      <c r="B10" s="22">
        <v>15</v>
      </c>
      <c r="C10" s="1"/>
      <c r="D10" s="1"/>
      <c r="E10" s="6">
        <f>B10</f>
        <v>15</v>
      </c>
    </row>
    <row r="11" spans="1:23" s="3" customFormat="1" ht="15.75" thickBot="1" x14ac:dyDescent="0.3">
      <c r="A11" s="10" t="s">
        <v>29</v>
      </c>
      <c r="B11" s="11"/>
      <c r="C11" s="11"/>
      <c r="D11" s="11"/>
      <c r="E11" s="12">
        <f>E7-E10+E9*0.15*911.4*B46/1000</f>
        <v>7.0501753393600017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8" spans="1:15" x14ac:dyDescent="0.25">
      <c r="A18" s="17" t="s">
        <v>2</v>
      </c>
      <c r="B18" s="18"/>
      <c r="C18" s="18"/>
      <c r="D18" s="18" t="s">
        <v>45</v>
      </c>
      <c r="E18" s="18" t="s">
        <v>44</v>
      </c>
      <c r="F18" s="18" t="s">
        <v>43</v>
      </c>
      <c r="G18" s="18" t="s">
        <v>42</v>
      </c>
      <c r="H18" s="18" t="s">
        <v>41</v>
      </c>
      <c r="I18" s="18" t="s">
        <v>40</v>
      </c>
      <c r="J18" s="18" t="s">
        <v>39</v>
      </c>
      <c r="K18" s="18" t="s">
        <v>38</v>
      </c>
      <c r="L18" s="18" t="s">
        <v>37</v>
      </c>
    </row>
    <row r="19" spans="1:15" x14ac:dyDescent="0.25">
      <c r="A19" s="19" t="s">
        <v>8</v>
      </c>
      <c r="B19" s="18"/>
      <c r="C19" s="18"/>
      <c r="D19" s="20">
        <f>D20*1101.8*B46</f>
        <v>0.10810755166120001</v>
      </c>
      <c r="E19" s="20">
        <f>E20*1101.8*B46</f>
        <v>0.17835336376479999</v>
      </c>
      <c r="F19" s="20">
        <f>F20*1101.8*B46</f>
        <v>0.36703448068</v>
      </c>
      <c r="G19" s="20">
        <f>G20*1101.8*B46</f>
        <v>0.62121511312</v>
      </c>
      <c r="H19" s="20">
        <f>H20*1101.8*B46</f>
        <v>0.92937358202919984</v>
      </c>
      <c r="I19" s="20">
        <f>I20*1101.8*B46</f>
        <v>1.2980507054787997</v>
      </c>
      <c r="J19" s="20">
        <f>J20*1101.8*B46</f>
        <v>2.2469928576417</v>
      </c>
      <c r="K19" s="20">
        <f>K20*1101.8*B46</f>
        <v>3.4743766248772006</v>
      </c>
      <c r="L19" s="20">
        <f>L20*1101.8*B46</f>
        <v>5.5354431999999995E-2</v>
      </c>
    </row>
    <row r="20" spans="1:15" x14ac:dyDescent="0.25">
      <c r="A20" s="17" t="s">
        <v>9</v>
      </c>
      <c r="B20" s="18"/>
      <c r="C20" s="18"/>
      <c r="D20" s="18">
        <f>(3.14*0.01118*0.01118)/4</f>
        <v>9.8119034000000013E-5</v>
      </c>
      <c r="E20" s="18">
        <f>(3.14*0.01436*0.01436)/4</f>
        <v>1.61874536E-4</v>
      </c>
      <c r="F20" s="18">
        <f>(3.14*0.0206*0.0206)/4</f>
        <v>3.3312260000000003E-4</v>
      </c>
      <c r="G20" s="18">
        <f>(3.14*0.0268*0.0268)/4</f>
        <v>5.6381840000000003E-4</v>
      </c>
      <c r="H20" s="18">
        <f>(3.14*0.03278*0.03278)/4</f>
        <v>8.4350479399999988E-4</v>
      </c>
      <c r="I20" s="18">
        <f>(3.14*0.03874*0.03874)/4</f>
        <v>1.1781182659999997E-3</v>
      </c>
      <c r="J20" s="18">
        <f>(3.14*0.05097*0.05097)/4</f>
        <v>2.0393836065E-3</v>
      </c>
      <c r="K20" s="18">
        <f>(3.14*0.06338*0.06338)/4</f>
        <v>3.1533641540000008E-3</v>
      </c>
      <c r="L20" s="18">
        <f>(3.14*0.008*0.008)/4</f>
        <v>5.024E-5</v>
      </c>
    </row>
    <row r="21" spans="1:15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pans="1:15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</row>
    <row r="23" spans="1:15" x14ac:dyDescent="0.25">
      <c r="A23" s="18" t="s">
        <v>10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</row>
    <row r="24" spans="1:15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1:15" x14ac:dyDescent="0.25">
      <c r="A25" s="18" t="s">
        <v>11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O25" s="24" t="s">
        <v>36</v>
      </c>
    </row>
    <row r="26" spans="1:15" x14ac:dyDescent="0.25">
      <c r="A26" s="18" t="s">
        <v>12</v>
      </c>
      <c r="B26" s="18"/>
      <c r="C26" s="18" t="s">
        <v>13</v>
      </c>
      <c r="D26" s="18" t="s">
        <v>14</v>
      </c>
      <c r="E26" s="18"/>
      <c r="F26" s="18"/>
      <c r="G26" s="18"/>
      <c r="H26" s="18"/>
      <c r="I26" s="18"/>
      <c r="J26" s="18"/>
      <c r="K26" s="18"/>
      <c r="L26" s="18"/>
      <c r="O26" s="23">
        <f>O27*1101.8*B46</f>
        <v>2.0177468885700003E-2</v>
      </c>
    </row>
    <row r="27" spans="1:15" x14ac:dyDescent="0.25">
      <c r="A27" s="18">
        <v>40</v>
      </c>
      <c r="B27" s="18"/>
      <c r="C27" s="18">
        <v>1146.0999999999999</v>
      </c>
      <c r="D27" s="18">
        <v>50.072000000000003</v>
      </c>
      <c r="E27" s="18"/>
      <c r="F27" s="18"/>
      <c r="G27" s="18"/>
      <c r="H27" s="18"/>
      <c r="I27" s="18"/>
      <c r="J27" s="18"/>
      <c r="K27" s="18"/>
      <c r="L27" s="18"/>
      <c r="O27">
        <f>(3.14*0.00483*0.00483)/4</f>
        <v>1.8313186500000003E-5</v>
      </c>
    </row>
    <row r="28" spans="1:15" x14ac:dyDescent="0.25">
      <c r="A28" s="18">
        <v>45</v>
      </c>
      <c r="B28" s="18"/>
      <c r="C28" s="18">
        <v>1124.5</v>
      </c>
      <c r="D28" s="18">
        <v>57.63</v>
      </c>
      <c r="E28" s="18"/>
      <c r="F28" s="18"/>
      <c r="G28" s="20"/>
      <c r="H28" s="18"/>
      <c r="I28" s="18"/>
      <c r="J28" s="18"/>
      <c r="K28" s="18"/>
      <c r="L28" s="18"/>
    </row>
    <row r="29" spans="1:15" x14ac:dyDescent="0.25">
      <c r="A29" s="18">
        <v>50</v>
      </c>
      <c r="B29" s="18"/>
      <c r="C29" s="18">
        <v>1101.8</v>
      </c>
      <c r="D29" s="18">
        <v>66.224999999999994</v>
      </c>
      <c r="E29" s="18"/>
      <c r="F29" s="18"/>
      <c r="G29" s="18"/>
      <c r="H29" s="18"/>
      <c r="I29" s="18"/>
      <c r="J29" s="18"/>
      <c r="K29" s="18"/>
      <c r="L29" s="18" t="s">
        <v>35</v>
      </c>
    </row>
    <row r="30" spans="1:15" x14ac:dyDescent="0.25">
      <c r="A30" s="18">
        <v>52</v>
      </c>
      <c r="B30" s="18"/>
      <c r="C30" s="18">
        <v>1092.4000000000001</v>
      </c>
      <c r="D30" s="18">
        <v>69.992000000000004</v>
      </c>
      <c r="E30" s="18"/>
      <c r="F30" s="18"/>
      <c r="G30" s="18"/>
      <c r="H30" s="18"/>
      <c r="I30" s="18"/>
      <c r="J30" s="18"/>
      <c r="K30" s="18"/>
      <c r="L30" s="20">
        <f>L31*1101.8*B46</f>
        <v>4.6015478528068003</v>
      </c>
    </row>
    <row r="31" spans="1:15" x14ac:dyDescent="0.25">
      <c r="A31" s="18">
        <v>55</v>
      </c>
      <c r="B31" s="18"/>
      <c r="C31" s="18">
        <v>1077.9000000000001</v>
      </c>
      <c r="D31" s="18">
        <v>76.034999999999997</v>
      </c>
      <c r="E31" s="18"/>
      <c r="F31" s="18"/>
      <c r="G31" s="18"/>
      <c r="H31" s="18"/>
      <c r="I31" s="18"/>
      <c r="J31" s="18"/>
      <c r="K31" s="18"/>
      <c r="L31" s="18">
        <f>(3.14*0.07294*0.07294)/4</f>
        <v>4.1763912260000006E-3</v>
      </c>
    </row>
    <row r="32" spans="1:15" x14ac:dyDescent="0.25">
      <c r="A32" s="18">
        <v>60</v>
      </c>
      <c r="B32" s="18"/>
      <c r="C32" s="18">
        <v>1052.5</v>
      </c>
      <c r="D32" s="18">
        <v>87.287000000000006</v>
      </c>
      <c r="E32" s="18"/>
      <c r="F32" s="18"/>
      <c r="G32" s="18"/>
      <c r="H32" s="18"/>
      <c r="I32" s="18"/>
      <c r="J32" s="18"/>
      <c r="K32" s="18"/>
      <c r="L32" s="18"/>
    </row>
    <row r="33" spans="1:12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</row>
    <row r="34" spans="1:12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</row>
    <row r="35" spans="1:12" x14ac:dyDescent="0.25">
      <c r="A35" s="18" t="s">
        <v>15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pans="1:12" x14ac:dyDescent="0.25">
      <c r="A36" s="18" t="s">
        <v>12</v>
      </c>
      <c r="B36" s="18"/>
      <c r="C36" s="18" t="s">
        <v>13</v>
      </c>
      <c r="D36" s="18" t="s">
        <v>14</v>
      </c>
      <c r="E36" s="18"/>
      <c r="F36" s="18"/>
      <c r="G36" s="18"/>
      <c r="H36" s="18"/>
      <c r="I36" s="18"/>
      <c r="J36" s="20"/>
      <c r="K36" s="18"/>
      <c r="L36" s="18"/>
    </row>
    <row r="37" spans="1:12" x14ac:dyDescent="0.25">
      <c r="A37" s="18">
        <v>2</v>
      </c>
      <c r="B37" s="18"/>
      <c r="C37" s="18">
        <v>1286.7</v>
      </c>
      <c r="D37" s="18">
        <v>15.472</v>
      </c>
      <c r="E37" s="18"/>
      <c r="F37" s="18"/>
      <c r="G37" s="20"/>
      <c r="H37" s="18"/>
      <c r="I37" s="18"/>
      <c r="J37" s="18"/>
      <c r="K37" s="18"/>
      <c r="L37" s="18"/>
    </row>
    <row r="38" spans="1:12" x14ac:dyDescent="0.25">
      <c r="A38" s="18">
        <v>3</v>
      </c>
      <c r="B38" s="18"/>
      <c r="C38" s="18">
        <v>1283.4000000000001</v>
      </c>
      <c r="D38" s="18">
        <v>16.013000000000002</v>
      </c>
      <c r="E38" s="18"/>
      <c r="F38" s="18"/>
      <c r="G38" s="18"/>
      <c r="H38" s="18"/>
      <c r="I38" s="18"/>
      <c r="J38" s="18"/>
      <c r="K38" s="18"/>
      <c r="L38" s="18"/>
    </row>
    <row r="39" spans="1:12" x14ac:dyDescent="0.25">
      <c r="A39" s="18">
        <v>4</v>
      </c>
      <c r="B39" s="18"/>
      <c r="C39" s="18">
        <v>1280.0999999999999</v>
      </c>
      <c r="D39" s="18">
        <v>16.568999999999999</v>
      </c>
      <c r="E39" s="18"/>
      <c r="F39" s="18"/>
      <c r="G39" s="18"/>
      <c r="H39" s="18"/>
      <c r="I39" s="18"/>
      <c r="J39" s="18"/>
      <c r="K39" s="18"/>
      <c r="L39" s="18"/>
    </row>
    <row r="40" spans="1:12" x14ac:dyDescent="0.25">
      <c r="A40" s="18">
        <v>5</v>
      </c>
      <c r="B40" s="18"/>
      <c r="C40" s="18">
        <v>1276.7</v>
      </c>
      <c r="D40" s="18">
        <v>17.14</v>
      </c>
      <c r="E40" s="18"/>
      <c r="F40" s="18"/>
      <c r="G40" s="18"/>
      <c r="H40" s="18"/>
      <c r="I40" s="18"/>
      <c r="J40" s="18"/>
      <c r="K40" s="18"/>
      <c r="L40" s="18"/>
    </row>
    <row r="41" spans="1:12" x14ac:dyDescent="0.25">
      <c r="A41" s="18">
        <v>6</v>
      </c>
      <c r="B41" s="18"/>
      <c r="C41" s="18">
        <v>1273.4000000000001</v>
      </c>
      <c r="D41" s="18">
        <v>17.725999999999999</v>
      </c>
      <c r="E41" s="18"/>
      <c r="F41" s="18"/>
      <c r="G41" s="18"/>
      <c r="H41" s="18"/>
      <c r="I41" s="18"/>
      <c r="J41" s="18"/>
      <c r="K41" s="18"/>
      <c r="L41" s="18"/>
    </row>
    <row r="42" spans="1:12" x14ac:dyDescent="0.25">
      <c r="A42" s="18">
        <v>7</v>
      </c>
      <c r="B42" s="18"/>
      <c r="C42" s="18">
        <v>1270</v>
      </c>
      <c r="D42" s="18">
        <v>18.329000000000001</v>
      </c>
      <c r="E42" s="18"/>
      <c r="F42" s="18"/>
      <c r="G42" s="18"/>
      <c r="H42" s="18"/>
      <c r="I42" s="18"/>
      <c r="J42" s="18"/>
      <c r="K42" s="18"/>
      <c r="L42" s="18"/>
    </row>
    <row r="43" spans="1:12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1:12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1:12" x14ac:dyDescent="0.25">
      <c r="A45" s="18" t="s">
        <v>16</v>
      </c>
      <c r="B45" s="18"/>
      <c r="C45" s="20">
        <v>40</v>
      </c>
      <c r="D45" s="18">
        <v>45</v>
      </c>
      <c r="E45" s="18">
        <v>50</v>
      </c>
      <c r="F45" s="18">
        <v>52</v>
      </c>
      <c r="G45" s="18">
        <v>55</v>
      </c>
      <c r="H45" s="18">
        <v>60</v>
      </c>
      <c r="I45" s="18"/>
      <c r="J45" s="18"/>
      <c r="K45" s="18"/>
      <c r="L45" s="18"/>
    </row>
    <row r="46" spans="1:12" x14ac:dyDescent="0.25">
      <c r="A46" s="18" t="s">
        <v>17</v>
      </c>
      <c r="B46" s="21">
        <f>LOOKUP(B2,A27:A32,C46:H46)</f>
        <v>1</v>
      </c>
      <c r="C46" s="20">
        <f>C27/C29</f>
        <v>1.0402069341078235</v>
      </c>
      <c r="D46" s="20">
        <f>C28/C29</f>
        <v>1.0206026502087493</v>
      </c>
      <c r="E46" s="20">
        <f>C29/C29</f>
        <v>1</v>
      </c>
      <c r="F46" s="18">
        <f>C30/C29</f>
        <v>0.9914685060809586</v>
      </c>
      <c r="G46" s="20">
        <f>C31/C29</f>
        <v>0.97830822290796893</v>
      </c>
      <c r="H46" s="20">
        <f>C32/C29</f>
        <v>0.95525503721183525</v>
      </c>
      <c r="I46" s="18"/>
      <c r="J46" s="18"/>
      <c r="K46" s="18"/>
      <c r="L46" s="18"/>
    </row>
    <row r="47" spans="1:12" x14ac:dyDescent="0.25">
      <c r="A47" s="18" t="s">
        <v>18</v>
      </c>
      <c r="B47" s="20">
        <f>LOOKUP(B2,A27:A32,C47:H47)</f>
        <v>1</v>
      </c>
      <c r="C47" s="20">
        <f>D27/D29</f>
        <v>0.75608909022272563</v>
      </c>
      <c r="D47" s="20">
        <f>D28/D29</f>
        <v>0.87021517553793892</v>
      </c>
      <c r="E47" s="20">
        <f>D29/D29</f>
        <v>1</v>
      </c>
      <c r="F47" s="18">
        <f>D30/D29</f>
        <v>1.0568818422046056</v>
      </c>
      <c r="G47" s="20">
        <f>D31/D29</f>
        <v>1.1481313703284259</v>
      </c>
      <c r="H47" s="20">
        <f>D32/D29</f>
        <v>1.318036995092488</v>
      </c>
      <c r="I47" s="18"/>
      <c r="J47" s="18"/>
      <c r="K47" s="18"/>
      <c r="L47" s="18"/>
    </row>
    <row r="48" spans="1:12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</row>
    <row r="49" spans="1:12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</row>
    <row r="50" spans="1:12" x14ac:dyDescent="0.25">
      <c r="A50" s="18" t="s">
        <v>19</v>
      </c>
      <c r="B50" s="18"/>
      <c r="C50" s="20">
        <v>2</v>
      </c>
      <c r="D50" s="18">
        <v>3</v>
      </c>
      <c r="E50" s="18">
        <v>4</v>
      </c>
      <c r="F50" s="18">
        <v>5</v>
      </c>
      <c r="G50" s="18">
        <v>6</v>
      </c>
      <c r="H50" s="18">
        <v>7</v>
      </c>
      <c r="I50" s="18"/>
      <c r="J50" s="18"/>
      <c r="K50" s="18"/>
      <c r="L50" s="18"/>
    </row>
    <row r="51" spans="1:12" x14ac:dyDescent="0.25">
      <c r="A51" s="18" t="s">
        <v>20</v>
      </c>
      <c r="B51" s="20">
        <f>LOOKUP(B3,A37:A42,C51:H51)</f>
        <v>0.99476603390360141</v>
      </c>
      <c r="C51" s="20">
        <f>C37/C39</f>
        <v>1.0051558471994377</v>
      </c>
      <c r="D51" s="20">
        <f>C38/C39</f>
        <v>1.002577923599719</v>
      </c>
      <c r="E51" s="20">
        <f>C39/C39</f>
        <v>1</v>
      </c>
      <c r="F51" s="20">
        <f>C40/C39</f>
        <v>0.99734395750332017</v>
      </c>
      <c r="G51" s="20">
        <f>C41/C39</f>
        <v>0.99476603390360141</v>
      </c>
      <c r="H51" s="20">
        <f>C42/C39</f>
        <v>0.99210999140692135</v>
      </c>
      <c r="I51" s="18"/>
      <c r="J51" s="18"/>
      <c r="K51" s="18"/>
      <c r="L51" s="18"/>
    </row>
    <row r="52" spans="1:12" x14ac:dyDescent="0.25">
      <c r="A52" s="18" t="s">
        <v>21</v>
      </c>
      <c r="B52" s="20">
        <f>LOOKUP(B3,A37:A42,C52:H52)</f>
        <v>1.0698291991067657</v>
      </c>
      <c r="C52" s="20">
        <f>D37/D39</f>
        <v>0.93379202124449279</v>
      </c>
      <c r="D52" s="20">
        <f>D38/D39</f>
        <v>0.96644335807833925</v>
      </c>
      <c r="E52" s="20">
        <f>D39/D39</f>
        <v>1</v>
      </c>
      <c r="F52" s="20">
        <f>D40/D39</f>
        <v>1.0344619470094756</v>
      </c>
      <c r="G52" s="20">
        <f>D41/D39</f>
        <v>1.0698291991067657</v>
      </c>
      <c r="H52" s="20">
        <f>D42/D39</f>
        <v>1.1062224636369125</v>
      </c>
      <c r="I52" s="18"/>
      <c r="J52" s="18"/>
      <c r="K52" s="18"/>
      <c r="L52" s="18"/>
    </row>
    <row r="53" spans="1:12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</row>
    <row r="54" spans="1:12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</row>
    <row r="55" spans="1:12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</row>
  </sheetData>
  <sheetProtection password="CF7A" sheet="1" objects="1" scenarios="1"/>
  <dataValidations count="3">
    <dataValidation type="list" allowBlank="1" showInputMessage="1" showErrorMessage="1" sqref="B4">
      <formula1>$D$18:$L$18</formula1>
    </dataValidation>
    <dataValidation type="list" allowBlank="1" showInputMessage="1" showErrorMessage="1" sqref="B3">
      <formula1>$A$37:$A$42</formula1>
    </dataValidation>
    <dataValidation type="list" allowBlank="1" showInputMessage="1" showErrorMessage="1" sqref="B2">
      <formula1>$A$27:$A$32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A29" sqref="A29"/>
    </sheetView>
  </sheetViews>
  <sheetFormatPr defaultRowHeight="15" x14ac:dyDescent="0.25"/>
  <cols>
    <col min="1" max="1" width="24" customWidth="1"/>
    <col min="2" max="2" width="24" style="28" customWidth="1"/>
    <col min="3" max="3" width="27.140625" customWidth="1"/>
  </cols>
  <sheetData>
    <row r="1" spans="1:3" ht="63" x14ac:dyDescent="0.25">
      <c r="A1" s="32" t="s">
        <v>48</v>
      </c>
      <c r="B1" s="32" t="s">
        <v>64</v>
      </c>
      <c r="C1" s="32" t="s">
        <v>55</v>
      </c>
    </row>
    <row r="2" spans="1:3" x14ac:dyDescent="0.25">
      <c r="A2" s="29" t="s">
        <v>49</v>
      </c>
      <c r="B2" s="29">
        <v>1</v>
      </c>
      <c r="C2" s="30">
        <v>0.67</v>
      </c>
    </row>
    <row r="3" spans="1:3" x14ac:dyDescent="0.25">
      <c r="A3" s="29" t="s">
        <v>50</v>
      </c>
      <c r="B3" s="29">
        <v>1</v>
      </c>
      <c r="C3" s="30">
        <v>1.1200000000000001</v>
      </c>
    </row>
    <row r="4" spans="1:3" x14ac:dyDescent="0.25">
      <c r="A4" s="29" t="s">
        <v>51</v>
      </c>
      <c r="B4" s="29">
        <v>1</v>
      </c>
      <c r="C4" s="30">
        <v>1.51</v>
      </c>
    </row>
    <row r="5" spans="1:3" s="28" customFormat="1" x14ac:dyDescent="0.25">
      <c r="A5" s="29" t="s">
        <v>65</v>
      </c>
      <c r="B5" s="29">
        <v>1</v>
      </c>
      <c r="C5" s="30">
        <v>0.627</v>
      </c>
    </row>
    <row r="6" spans="1:3" s="28" customFormat="1" x14ac:dyDescent="0.25">
      <c r="A6" s="29" t="s">
        <v>66</v>
      </c>
      <c r="B6" s="29">
        <v>1</v>
      </c>
      <c r="C6" s="30">
        <v>1.0900000000000001</v>
      </c>
    </row>
    <row r="7" spans="1:3" s="28" customFormat="1" x14ac:dyDescent="0.25">
      <c r="A7" s="29" t="s">
        <v>67</v>
      </c>
      <c r="B7" s="29">
        <v>1</v>
      </c>
      <c r="C7" s="30">
        <v>1.42</v>
      </c>
    </row>
    <row r="8" spans="1:3" x14ac:dyDescent="0.25">
      <c r="A8" s="29" t="s">
        <v>52</v>
      </c>
      <c r="B8" s="29">
        <v>1</v>
      </c>
      <c r="C8" s="30">
        <v>2.0099999999999998</v>
      </c>
    </row>
    <row r="9" spans="1:3" x14ac:dyDescent="0.25">
      <c r="A9" s="29" t="s">
        <v>53</v>
      </c>
      <c r="B9" s="29">
        <v>1</v>
      </c>
      <c r="C9" s="30">
        <v>2.9</v>
      </c>
    </row>
    <row r="10" spans="1:3" x14ac:dyDescent="0.25">
      <c r="A10" s="29" t="s">
        <v>54</v>
      </c>
      <c r="B10" s="29">
        <v>1</v>
      </c>
      <c r="C10" s="30">
        <v>3.27</v>
      </c>
    </row>
    <row r="11" spans="1:3" x14ac:dyDescent="0.25">
      <c r="A11" s="29" t="s">
        <v>56</v>
      </c>
      <c r="B11" s="29">
        <v>1</v>
      </c>
      <c r="C11" s="31">
        <v>6.7</v>
      </c>
    </row>
    <row r="12" spans="1:3" x14ac:dyDescent="0.25">
      <c r="A12" s="29" t="s">
        <v>57</v>
      </c>
      <c r="B12" s="29">
        <v>1</v>
      </c>
      <c r="C12" s="31">
        <v>9</v>
      </c>
    </row>
    <row r="13" spans="1:3" x14ac:dyDescent="0.25">
      <c r="A13" s="29" t="s">
        <v>58</v>
      </c>
      <c r="B13" s="29">
        <v>1</v>
      </c>
      <c r="C13" s="31">
        <v>11.1</v>
      </c>
    </row>
    <row r="14" spans="1:3" x14ac:dyDescent="0.25">
      <c r="A14" s="29" t="s">
        <v>59</v>
      </c>
      <c r="B14" s="29">
        <v>1</v>
      </c>
      <c r="C14" s="31">
        <v>10.1</v>
      </c>
    </row>
    <row r="15" spans="1:3" x14ac:dyDescent="0.25">
      <c r="A15" s="29" t="s">
        <v>60</v>
      </c>
      <c r="B15" s="29">
        <v>2</v>
      </c>
      <c r="C15" s="31">
        <v>13</v>
      </c>
    </row>
    <row r="16" spans="1:3" x14ac:dyDescent="0.25">
      <c r="A16" s="29" t="s">
        <v>61</v>
      </c>
      <c r="B16" s="29">
        <v>2</v>
      </c>
      <c r="C16" s="31">
        <v>13</v>
      </c>
    </row>
    <row r="17" spans="1:3" x14ac:dyDescent="0.25">
      <c r="A17" s="29" t="s">
        <v>62</v>
      </c>
      <c r="B17" s="29">
        <v>2</v>
      </c>
      <c r="C17" s="31">
        <v>18.899999999999999</v>
      </c>
    </row>
    <row r="18" spans="1:3" x14ac:dyDescent="0.25">
      <c r="A18" s="29" t="s">
        <v>63</v>
      </c>
      <c r="B18" s="29">
        <v>2</v>
      </c>
      <c r="C18" s="31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Инструкция</vt:lpstr>
      <vt:lpstr>R410A</vt:lpstr>
      <vt:lpstr>R134a</vt:lpstr>
      <vt:lpstr>Справка</vt:lpstr>
      <vt:lpstr>'R134a'!Диаметр</vt:lpstr>
      <vt:lpstr>'R410A'!Диаметр</vt:lpstr>
      <vt:lpstr>Диаметр</vt:lpstr>
      <vt:lpstr>'R134a'!заправка</vt:lpstr>
      <vt:lpstr>'R410A'!заправка</vt:lpstr>
      <vt:lpstr>заправка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2020-08-17T06:43:23Z</dcterms:modified>
</cp:coreProperties>
</file>